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atos\RED\Tesorería\_Padrones\"/>
    </mc:Choice>
  </mc:AlternateContent>
  <bookViews>
    <workbookView xWindow="-120" yWindow="-120" windowWidth="29040" windowHeight="15840" firstSheet="1" activeTab="1"/>
  </bookViews>
  <sheets>
    <sheet name="ARANCELES PILETA 2025-2026" sheetId="2" state="hidden" r:id="rId1"/>
    <sheet name="ARANCELES PILETA - HASTA 31-12" sheetId="3" r:id="rId2"/>
  </sheets>
  <definedNames>
    <definedName name="_xlnm.Print_Area" localSheetId="0">'ARANCELES PILETA 2025-2026'!$A$1:$N$51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3" l="1"/>
  <c r="I6" i="3"/>
  <c r="K6" i="3"/>
  <c r="E15" i="3" s="1"/>
  <c r="G29" i="2"/>
  <c r="G28" i="2"/>
  <c r="G27" i="2"/>
  <c r="G26" i="2"/>
  <c r="G25" i="2"/>
  <c r="G24" i="2"/>
  <c r="G23" i="2"/>
  <c r="E29" i="2"/>
  <c r="E28" i="2"/>
  <c r="E27" i="2"/>
  <c r="E26" i="2"/>
  <c r="E25" i="2"/>
  <c r="E24" i="2"/>
  <c r="E23" i="2"/>
  <c r="O20" i="2"/>
  <c r="O19" i="2"/>
  <c r="O18" i="2"/>
  <c r="O17" i="2"/>
  <c r="O16" i="2"/>
  <c r="O15" i="2"/>
  <c r="O14" i="2"/>
  <c r="C15" i="3" l="1"/>
  <c r="J6" i="3"/>
  <c r="F16" i="2"/>
  <c r="F15" i="2"/>
  <c r="F14" i="2"/>
  <c r="C20" i="2"/>
  <c r="C19" i="2"/>
  <c r="C18" i="2"/>
  <c r="G38" i="2"/>
  <c r="G37" i="2"/>
  <c r="G36" i="2"/>
  <c r="G35" i="2"/>
  <c r="G34" i="2"/>
  <c r="G33" i="2"/>
  <c r="G32" i="2"/>
  <c r="C17" i="2"/>
  <c r="C16" i="2"/>
  <c r="C15" i="2"/>
  <c r="C14" i="2"/>
  <c r="T11" i="2"/>
  <c r="T10" i="2"/>
  <c r="T9" i="2"/>
  <c r="T8" i="2"/>
  <c r="T7" i="2"/>
  <c r="T6" i="2"/>
  <c r="T5" i="2"/>
  <c r="O11" i="2"/>
  <c r="O10" i="2"/>
  <c r="O9" i="2"/>
  <c r="O8" i="2" l="1"/>
  <c r="C11" i="2" l="1"/>
  <c r="C10" i="2"/>
  <c r="C9" i="2"/>
  <c r="C8" i="2"/>
  <c r="O7" i="2" l="1"/>
  <c r="O6" i="2"/>
  <c r="O5" i="2"/>
  <c r="F7" i="2"/>
  <c r="C7" i="2"/>
  <c r="C5" i="2"/>
  <c r="F6" i="2"/>
  <c r="C6" i="2"/>
  <c r="F5" i="2"/>
  <c r="E33" i="2"/>
  <c r="E34" i="2"/>
  <c r="E35" i="2"/>
  <c r="E36" i="2"/>
  <c r="E37" i="2"/>
  <c r="E38" i="2"/>
  <c r="E32" i="2"/>
  <c r="K47" i="2" l="1"/>
  <c r="K46" i="2"/>
  <c r="K45" i="2"/>
  <c r="T15" i="2" l="1"/>
  <c r="T16" i="2"/>
  <c r="T17" i="2"/>
  <c r="T18" i="2"/>
  <c r="T19" i="2"/>
  <c r="T20" i="2"/>
  <c r="T14" i="2"/>
  <c r="R15" i="2" l="1"/>
  <c r="Q15" i="2"/>
  <c r="M15" i="2"/>
  <c r="S15" i="2" s="1"/>
  <c r="K15" i="2"/>
  <c r="I15" i="2"/>
  <c r="N33" i="2"/>
  <c r="L33" i="2"/>
  <c r="J33" i="2"/>
  <c r="N24" i="2"/>
  <c r="L24" i="2"/>
  <c r="J24" i="2"/>
  <c r="R6" i="2"/>
  <c r="Q6" i="2"/>
  <c r="M6" i="2"/>
  <c r="K6" i="2"/>
  <c r="I6" i="2"/>
  <c r="S6" i="2" l="1"/>
</calcChain>
</file>

<file path=xl/sharedStrings.xml><?xml version="1.0" encoding="utf-8"?>
<sst xmlns="http://schemas.openxmlformats.org/spreadsheetml/2006/main" count="139" uniqueCount="32">
  <si>
    <t>Mayores</t>
  </si>
  <si>
    <t>Menores</t>
  </si>
  <si>
    <t>Familiares Cadetes del Liceo</t>
  </si>
  <si>
    <t>Cadetes del Liceo</t>
  </si>
  <si>
    <t>Socios/ Amarristas e Invitados Jugadores</t>
  </si>
  <si>
    <t>Mensual</t>
  </si>
  <si>
    <t>Diario</t>
  </si>
  <si>
    <t>1º menor</t>
  </si>
  <si>
    <t>2º menor</t>
  </si>
  <si>
    <t>3º menor</t>
  </si>
  <si>
    <t>4º menor y subsiguientes</t>
  </si>
  <si>
    <t>Invitados Jugadores: Quienes adquieran carnets deben tener facturado como tales el período como Invitado Jugador, de lo contrario se facturará adicionalmente el mismo.</t>
  </si>
  <si>
    <t>4º menor y subsig.</t>
  </si>
  <si>
    <t>Temporada</t>
  </si>
  <si>
    <t>Terceros</t>
  </si>
  <si>
    <t>No Disponible</t>
  </si>
  <si>
    <t>Grupos familiares: En el caso que el socio titular o su cónyuge adquiera un carnet, los familiares asociados menores de 18 años accederán a los siguientes descuentos:</t>
  </si>
  <si>
    <t>2º Menor</t>
  </si>
  <si>
    <t>3ºMenor</t>
  </si>
  <si>
    <t>DETERMINACIÓN VALOR PAGO EN CUOTA TASA 42 % / MES  3,5 %</t>
  </si>
  <si>
    <t>Total Temporada</t>
  </si>
  <si>
    <t>Socios menores de 6 años: abonan un valor simbólico de $ 100 hasta cumplir los 6 años.</t>
  </si>
  <si>
    <t>Hasta el 31/12/2025</t>
  </si>
  <si>
    <t>TEMPORADA DE PILETA 2025-2026</t>
  </si>
  <si>
    <t>MENSUAL ENERO 26</t>
  </si>
  <si>
    <t>DIARIO ENERO 26</t>
  </si>
  <si>
    <t>DIARIO DIC 25</t>
  </si>
  <si>
    <t xml:space="preserve">MENSUAL DIC 25 1/2 MES </t>
  </si>
  <si>
    <r>
      <t xml:space="preserve">4 Cuotas
</t>
    </r>
    <r>
      <rPr>
        <sz val="8"/>
        <color theme="1"/>
        <rFont val="Arial"/>
        <family val="2"/>
      </rPr>
      <t>Pagaderas de FEBRERO A MAYO</t>
    </r>
  </si>
  <si>
    <r>
      <t xml:space="preserve">4 Cuotas
</t>
    </r>
    <r>
      <rPr>
        <sz val="8"/>
        <color theme="1"/>
        <rFont val="Arial"/>
        <family val="2"/>
      </rPr>
      <t>Pagaderas de ENERO A ABRIL</t>
    </r>
  </si>
  <si>
    <t>Inicio 6/12/2025 (sábados, domingos y feriados) - A partir del 20/12/2025 de Lunes a Domingo</t>
  </si>
  <si>
    <t>Inicio 6/12/2025 (sábados, domingos y feriados) - A partir del 22/12/2025 de Lunes a Domingo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</si>
</sst>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\ #,##0;&quot;$&quot;\ \-#,##0"/>
    <numFmt numFmtId="7" formatCode="&quot;$&quot;\ #,##0.00;&quot;$&quot;\ \-#,##0.00"/>
    <numFmt numFmtId="8" formatCode="&quot;$&quot;\ #,##0.00;[Red]&quot;$&quot;\ \-#,##0.00"/>
    <numFmt numFmtId="44" formatCode="_ &quot;$&quot;\ * #,##0.00_ ;_ &quot;$&quot;\ * \-#,##0.00_ ;_ &quot;$&quot;\ * &quot;-&quot;??_ ;_ @_ "/>
    <numFmt numFmtId="164" formatCode="&quot;$&quot;\ #,##0.00;\-&quot;$&quot;\ #,##0.00"/>
    <numFmt numFmtId="165" formatCode="&quot;$&quot;\ #,##0.00;[Red]\-&quot;$&quot;\ #,##0.00"/>
    <numFmt numFmtId="166" formatCode="&quot;$&quot;\ #,##0.0000;\-&quot;$&quot;\ #,##0.0000"/>
  </numFmts>
  <fonts count="10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theme="0"/>
      </left>
      <right style="thick">
        <color theme="0"/>
      </right>
      <top/>
      <bottom style="thick">
        <color auto="1"/>
      </bottom>
      <diagonal/>
    </border>
    <border>
      <left style="thick">
        <color auto="1"/>
      </left>
      <right style="thick">
        <color theme="0"/>
      </right>
      <top style="thick">
        <color auto="1"/>
      </top>
      <bottom style="thick">
        <color auto="1"/>
      </bottom>
      <diagonal/>
    </border>
    <border>
      <left style="thick">
        <color theme="0"/>
      </left>
      <right style="thick">
        <color theme="0"/>
      </right>
      <top style="thick">
        <color auto="1"/>
      </top>
      <bottom style="thick">
        <color auto="1"/>
      </bottom>
      <diagonal/>
    </border>
    <border>
      <left/>
      <right style="thick">
        <color theme="0"/>
      </right>
      <top style="thick">
        <color auto="1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auto="1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 diagonalUp="1">
      <left/>
      <right/>
      <top style="thin">
        <color theme="0"/>
      </top>
      <bottom style="thin">
        <color theme="0"/>
      </bottom>
      <diagonal style="thin">
        <color theme="0"/>
      </diagonal>
    </border>
    <border diagonalUp="1">
      <left/>
      <right/>
      <top style="thin">
        <color theme="0"/>
      </top>
      <bottom/>
      <diagonal style="thin">
        <color theme="0"/>
      </diagonal>
    </border>
    <border diagonalUp="1">
      <left style="thin">
        <color indexed="64"/>
      </left>
      <right style="thick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thick">
        <color theme="0"/>
      </left>
      <right/>
      <top style="thick">
        <color auto="1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/>
    <xf numFmtId="0" fontId="0" fillId="0" borderId="19" xfId="0" applyBorder="1" applyAlignment="1">
      <alignment horizontal="center" vertical="center"/>
    </xf>
    <xf numFmtId="0" fontId="0" fillId="0" borderId="19" xfId="0" applyBorder="1"/>
    <xf numFmtId="0" fontId="0" fillId="0" borderId="16" xfId="0" applyBorder="1" applyAlignment="1">
      <alignment horizontal="center" vertical="center"/>
    </xf>
    <xf numFmtId="0" fontId="0" fillId="0" borderId="29" xfId="0" applyBorder="1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8" fontId="0" fillId="3" borderId="31" xfId="0" applyNumberFormat="1" applyFill="1" applyBorder="1" applyAlignment="1">
      <alignment horizontal="center"/>
    </xf>
    <xf numFmtId="0" fontId="0" fillId="0" borderId="31" xfId="0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8" fontId="0" fillId="6" borderId="31" xfId="0" applyNumberFormat="1" applyFill="1" applyBorder="1" applyAlignment="1">
      <alignment horizontal="center"/>
    </xf>
    <xf numFmtId="0" fontId="6" fillId="0" borderId="0" xfId="0" applyFont="1" applyAlignment="1">
      <alignment horizontal="left" vertical="top"/>
    </xf>
    <xf numFmtId="0" fontId="6" fillId="0" borderId="0" xfId="0" applyFont="1"/>
    <xf numFmtId="9" fontId="6" fillId="0" borderId="0" xfId="0" applyNumberFormat="1" applyFont="1" applyAlignment="1">
      <alignment horizontal="center"/>
    </xf>
    <xf numFmtId="165" fontId="0" fillId="0" borderId="0" xfId="0" applyNumberFormat="1"/>
    <xf numFmtId="8" fontId="2" fillId="3" borderId="31" xfId="0" applyNumberFormat="1" applyFont="1" applyFill="1" applyBorder="1" applyAlignment="1">
      <alignment horizontal="center"/>
    </xf>
    <xf numFmtId="164" fontId="0" fillId="0" borderId="0" xfId="0" applyNumberFormat="1"/>
    <xf numFmtId="166" fontId="0" fillId="0" borderId="0" xfId="0" applyNumberFormat="1"/>
    <xf numFmtId="0" fontId="9" fillId="9" borderId="0" xfId="0" applyFont="1" applyFill="1"/>
    <xf numFmtId="0" fontId="0" fillId="9" borderId="0" xfId="0" applyFill="1"/>
    <xf numFmtId="0" fontId="0" fillId="9" borderId="0" xfId="0" applyFill="1" applyAlignment="1">
      <alignment horizontal="center" vertical="center"/>
    </xf>
    <xf numFmtId="0" fontId="0" fillId="9" borderId="2" xfId="0" applyFill="1" applyBorder="1"/>
    <xf numFmtId="9" fontId="0" fillId="8" borderId="1" xfId="0" applyNumberFormat="1" applyFill="1" applyBorder="1"/>
    <xf numFmtId="8" fontId="2" fillId="3" borderId="28" xfId="0" applyNumberFormat="1" applyFont="1" applyFill="1" applyBorder="1" applyAlignment="1">
      <alignment horizontal="center"/>
    </xf>
    <xf numFmtId="8" fontId="2" fillId="3" borderId="24" xfId="0" applyNumberFormat="1" applyFont="1" applyFill="1" applyBorder="1" applyAlignment="1">
      <alignment horizontal="center"/>
    </xf>
    <xf numFmtId="0" fontId="4" fillId="0" borderId="0" xfId="0" applyFont="1"/>
    <xf numFmtId="0" fontId="2" fillId="0" borderId="0" xfId="0" applyFont="1"/>
    <xf numFmtId="0" fontId="0" fillId="0" borderId="32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7" fontId="0" fillId="6" borderId="17" xfId="1" applyNumberFormat="1" applyFont="1" applyFill="1" applyBorder="1" applyAlignment="1">
      <alignment horizontal="center"/>
    </xf>
    <xf numFmtId="7" fontId="0" fillId="6" borderId="18" xfId="1" applyNumberFormat="1" applyFont="1" applyFill="1" applyBorder="1" applyAlignment="1">
      <alignment horizontal="center"/>
    </xf>
    <xf numFmtId="5" fontId="2" fillId="8" borderId="20" xfId="1" applyNumberFormat="1" applyFont="1" applyFill="1" applyBorder="1" applyAlignment="1">
      <alignment horizontal="center" vertical="center"/>
    </xf>
    <xf numFmtId="5" fontId="2" fillId="8" borderId="12" xfId="1" applyNumberFormat="1" applyFont="1" applyFill="1" applyBorder="1" applyAlignment="1">
      <alignment horizontal="center" vertical="center"/>
    </xf>
    <xf numFmtId="7" fontId="0" fillId="6" borderId="48" xfId="1" applyNumberFormat="1" applyFont="1" applyFill="1" applyBorder="1" applyAlignment="1">
      <alignment horizontal="center"/>
    </xf>
    <xf numFmtId="7" fontId="0" fillId="6" borderId="49" xfId="1" applyNumberFormat="1" applyFont="1" applyFill="1" applyBorder="1" applyAlignment="1">
      <alignment horizontal="center"/>
    </xf>
    <xf numFmtId="5" fontId="2" fillId="8" borderId="23" xfId="1" applyNumberFormat="1" applyFont="1" applyFill="1" applyBorder="1" applyAlignment="1">
      <alignment horizontal="center" vertical="center"/>
    </xf>
    <xf numFmtId="5" fontId="2" fillId="8" borderId="15" xfId="1" applyNumberFormat="1" applyFont="1" applyFill="1" applyBorder="1" applyAlignment="1">
      <alignment horizontal="center" vertical="center"/>
    </xf>
    <xf numFmtId="5" fontId="2" fillId="8" borderId="11" xfId="1" applyNumberFormat="1" applyFont="1" applyFill="1" applyBorder="1" applyAlignment="1">
      <alignment horizontal="center"/>
    </xf>
    <xf numFmtId="5" fontId="2" fillId="8" borderId="12" xfId="1" applyNumberFormat="1" applyFont="1" applyFill="1" applyBorder="1" applyAlignment="1">
      <alignment horizontal="center"/>
    </xf>
    <xf numFmtId="0" fontId="0" fillId="0" borderId="33" xfId="0" applyBorder="1" applyAlignment="1">
      <alignment horizontal="left" vertical="top"/>
    </xf>
    <xf numFmtId="0" fontId="0" fillId="0" borderId="3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7" fontId="0" fillId="6" borderId="46" xfId="1" applyNumberFormat="1" applyFont="1" applyFill="1" applyBorder="1" applyAlignment="1">
      <alignment horizontal="center"/>
    </xf>
    <xf numFmtId="7" fontId="0" fillId="6" borderId="47" xfId="1" applyNumberFormat="1" applyFont="1" applyFill="1" applyBorder="1" applyAlignment="1">
      <alignment horizontal="center"/>
    </xf>
    <xf numFmtId="5" fontId="2" fillId="8" borderId="8" xfId="1" applyNumberFormat="1" applyFont="1" applyFill="1" applyBorder="1" applyAlignment="1">
      <alignment horizontal="center"/>
    </xf>
    <xf numFmtId="5" fontId="2" fillId="8" borderId="9" xfId="1" applyNumberFormat="1" applyFont="1" applyFill="1" applyBorder="1" applyAlignment="1">
      <alignment horizontal="center"/>
    </xf>
    <xf numFmtId="17" fontId="2" fillId="5" borderId="24" xfId="0" applyNumberFormat="1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5" fontId="2" fillId="8" borderId="5" xfId="1" applyNumberFormat="1" applyFont="1" applyFill="1" applyBorder="1" applyAlignment="1">
      <alignment horizontal="center" vertical="center"/>
    </xf>
    <xf numFmtId="5" fontId="2" fillId="8" borderId="11" xfId="1" applyNumberFormat="1" applyFont="1" applyFill="1" applyBorder="1" applyAlignment="1">
      <alignment horizontal="center" vertical="center"/>
    </xf>
    <xf numFmtId="5" fontId="2" fillId="8" borderId="6" xfId="1" applyNumberFormat="1" applyFont="1" applyFill="1" applyBorder="1" applyAlignment="1">
      <alignment horizontal="center" vertical="center"/>
    </xf>
    <xf numFmtId="5" fontId="2" fillId="8" borderId="14" xfId="1" applyNumberFormat="1" applyFont="1" applyFill="1" applyBorder="1" applyAlignment="1">
      <alignment horizontal="center" vertical="center"/>
    </xf>
    <xf numFmtId="7" fontId="0" fillId="10" borderId="23" xfId="1" applyNumberFormat="1" applyFont="1" applyFill="1" applyBorder="1" applyAlignment="1">
      <alignment horizontal="center" vertical="center"/>
    </xf>
    <xf numFmtId="7" fontId="0" fillId="10" borderId="14" xfId="1" applyNumberFormat="1" applyFont="1" applyFill="1" applyBorder="1" applyAlignment="1">
      <alignment horizontal="center" vertical="center"/>
    </xf>
    <xf numFmtId="7" fontId="0" fillId="10" borderId="15" xfId="1" applyNumberFormat="1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0" fontId="5" fillId="4" borderId="39" xfId="0" applyFont="1" applyFill="1" applyBorder="1" applyAlignment="1">
      <alignment horizontal="center" vertical="center"/>
    </xf>
    <xf numFmtId="5" fontId="2" fillId="8" borderId="42" xfId="1" applyNumberFormat="1" applyFont="1" applyFill="1" applyBorder="1" applyAlignment="1">
      <alignment horizontal="center"/>
    </xf>
    <xf numFmtId="5" fontId="2" fillId="8" borderId="43" xfId="1" applyNumberFormat="1" applyFont="1" applyFill="1" applyBorder="1" applyAlignment="1">
      <alignment horizontal="center"/>
    </xf>
    <xf numFmtId="5" fontId="2" fillId="8" borderId="40" xfId="1" applyNumberFormat="1" applyFont="1" applyFill="1" applyBorder="1" applyAlignment="1">
      <alignment horizontal="center"/>
    </xf>
    <xf numFmtId="5" fontId="2" fillId="8" borderId="44" xfId="1" applyNumberFormat="1" applyFont="1" applyFill="1" applyBorder="1" applyAlignment="1">
      <alignment horizontal="center"/>
    </xf>
    <xf numFmtId="5" fontId="7" fillId="8" borderId="40" xfId="1" applyNumberFormat="1" applyFont="1" applyFill="1" applyBorder="1" applyAlignment="1">
      <alignment horizontal="center"/>
    </xf>
    <xf numFmtId="5" fontId="7" fillId="8" borderId="44" xfId="1" applyNumberFormat="1" applyFont="1" applyFill="1" applyBorder="1" applyAlignment="1">
      <alignment horizontal="center"/>
    </xf>
    <xf numFmtId="5" fontId="7" fillId="8" borderId="41" xfId="1" applyNumberFormat="1" applyFont="1" applyFill="1" applyBorder="1" applyAlignment="1">
      <alignment horizontal="center"/>
    </xf>
    <xf numFmtId="5" fontId="7" fillId="8" borderId="45" xfId="1" applyNumberFormat="1" applyFont="1" applyFill="1" applyBorder="1" applyAlignment="1">
      <alignment horizontal="center"/>
    </xf>
    <xf numFmtId="7" fontId="0" fillId="10" borderId="20" xfId="1" applyNumberFormat="1" applyFont="1" applyFill="1" applyBorder="1" applyAlignment="1">
      <alignment horizontal="center" vertical="center"/>
    </xf>
    <xf numFmtId="7" fontId="0" fillId="10" borderId="11" xfId="1" applyNumberFormat="1" applyFont="1" applyFill="1" applyBorder="1" applyAlignment="1">
      <alignment horizontal="center" vertical="center"/>
    </xf>
    <xf numFmtId="7" fontId="0" fillId="10" borderId="12" xfId="1" applyNumberFormat="1" applyFont="1" applyFill="1" applyBorder="1" applyAlignment="1">
      <alignment horizontal="center" vertical="center"/>
    </xf>
    <xf numFmtId="5" fontId="2" fillId="8" borderId="35" xfId="1" applyNumberFormat="1" applyFont="1" applyFill="1" applyBorder="1" applyAlignment="1">
      <alignment horizontal="center" vertical="center"/>
    </xf>
    <xf numFmtId="5" fontId="2" fillId="8" borderId="36" xfId="1" applyNumberFormat="1" applyFont="1" applyFill="1" applyBorder="1" applyAlignment="1">
      <alignment horizontal="center" vertical="center"/>
    </xf>
    <xf numFmtId="8" fontId="0" fillId="3" borderId="31" xfId="0" applyNumberFormat="1" applyFill="1" applyBorder="1" applyAlignment="1">
      <alignment horizontal="center"/>
    </xf>
    <xf numFmtId="8" fontId="0" fillId="3" borderId="24" xfId="0" applyNumberFormat="1" applyFill="1" applyBorder="1" applyAlignment="1">
      <alignment horizontal="center"/>
    </xf>
    <xf numFmtId="0" fontId="6" fillId="0" borderId="0" xfId="0" applyFont="1" applyAlignment="1">
      <alignment horizontal="left" vertical="top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5" fontId="2" fillId="8" borderId="30" xfId="1" applyNumberFormat="1" applyFont="1" applyFill="1" applyBorder="1" applyAlignment="1">
      <alignment horizontal="center" vertical="center"/>
    </xf>
    <xf numFmtId="5" fontId="2" fillId="8" borderId="37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17" fontId="2" fillId="5" borderId="24" xfId="0" applyNumberFormat="1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8" fillId="4" borderId="38" xfId="0" applyFont="1" applyFill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5" fontId="2" fillId="11" borderId="20" xfId="1" applyNumberFormat="1" applyFont="1" applyFill="1" applyBorder="1" applyAlignment="1">
      <alignment horizontal="center" vertical="center"/>
    </xf>
    <xf numFmtId="5" fontId="2" fillId="11" borderId="11" xfId="1" applyNumberFormat="1" applyFont="1" applyFill="1" applyBorder="1" applyAlignment="1">
      <alignment horizontal="center" vertical="center"/>
    </xf>
    <xf numFmtId="5" fontId="2" fillId="11" borderId="36" xfId="1" applyNumberFormat="1" applyFont="1" applyFill="1" applyBorder="1" applyAlignment="1">
      <alignment horizontal="center" vertical="center"/>
    </xf>
    <xf numFmtId="5" fontId="2" fillId="11" borderId="30" xfId="1" applyNumberFormat="1" applyFont="1" applyFill="1" applyBorder="1" applyAlignment="1">
      <alignment horizontal="center" vertical="center"/>
    </xf>
    <xf numFmtId="5" fontId="2" fillId="11" borderId="37" xfId="1" applyNumberFormat="1" applyFont="1" applyFill="1" applyBorder="1" applyAlignment="1">
      <alignment horizontal="center" vertical="center"/>
    </xf>
    <xf numFmtId="5" fontId="2" fillId="11" borderId="12" xfId="1" applyNumberFormat="1" applyFont="1" applyFill="1" applyBorder="1" applyAlignment="1">
      <alignment horizontal="center" vertical="center"/>
    </xf>
    <xf numFmtId="0" fontId="2" fillId="12" borderId="0" xfId="0" applyFont="1" applyFill="1" applyAlignment="1">
      <alignment horizontal="center"/>
    </xf>
    <xf numFmtId="0" fontId="5" fillId="4" borderId="50" xfId="0" applyFont="1" applyFill="1" applyBorder="1" applyAlignment="1">
      <alignment horizontal="center" vertical="center"/>
    </xf>
    <xf numFmtId="0" fontId="5" fillId="4" borderId="51" xfId="0" applyFont="1" applyFill="1" applyBorder="1" applyAlignment="1">
      <alignment horizontal="center" vertical="center"/>
    </xf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0" fillId="0" borderId="59" xfId="0" applyBorder="1"/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0" fillId="9" borderId="57" xfId="0" applyFill="1" applyBorder="1" applyAlignment="1">
      <alignment horizontal="center" vertical="center"/>
    </xf>
    <xf numFmtId="0" fontId="0" fillId="9" borderId="58" xfId="0" applyFill="1" applyBorder="1" applyAlignment="1">
      <alignment horizontal="center" vertical="center"/>
    </xf>
    <xf numFmtId="0" fontId="0" fillId="9" borderId="64" xfId="0" applyFill="1" applyBorder="1" applyAlignment="1">
      <alignment horizontal="center" vertical="center"/>
    </xf>
    <xf numFmtId="5" fontId="2" fillId="11" borderId="46" xfId="1" applyNumberFormat="1" applyFont="1" applyFill="1" applyBorder="1" applyAlignment="1">
      <alignment horizontal="right" vertical="center" indent="3"/>
    </xf>
    <xf numFmtId="5" fontId="2" fillId="11" borderId="47" xfId="1" applyNumberFormat="1" applyFont="1" applyFill="1" applyBorder="1" applyAlignment="1">
      <alignment horizontal="right" vertical="center" indent="3"/>
    </xf>
    <xf numFmtId="5" fontId="2" fillId="11" borderId="20" xfId="1" applyNumberFormat="1" applyFont="1" applyFill="1" applyBorder="1" applyAlignment="1">
      <alignment horizontal="right" vertical="center" indent="3"/>
    </xf>
    <xf numFmtId="5" fontId="2" fillId="11" borderId="21" xfId="1" applyNumberFormat="1" applyFont="1" applyFill="1" applyBorder="1" applyAlignment="1">
      <alignment horizontal="right" vertical="center" indent="3"/>
    </xf>
    <xf numFmtId="5" fontId="2" fillId="11" borderId="48" xfId="1" applyNumberFormat="1" applyFont="1" applyFill="1" applyBorder="1" applyAlignment="1">
      <alignment horizontal="right" vertical="center" indent="3"/>
    </xf>
    <xf numFmtId="5" fontId="2" fillId="11" borderId="49" xfId="1" applyNumberFormat="1" applyFont="1" applyFill="1" applyBorder="1" applyAlignment="1">
      <alignment horizontal="right" vertical="center" indent="3"/>
    </xf>
    <xf numFmtId="5" fontId="2" fillId="11" borderId="35" xfId="1" applyNumberFormat="1" applyFont="1" applyFill="1" applyBorder="1" applyAlignment="1">
      <alignment horizontal="right" vertical="center" indent="13"/>
    </xf>
    <xf numFmtId="5" fontId="2" fillId="11" borderId="36" xfId="1" applyNumberFormat="1" applyFont="1" applyFill="1" applyBorder="1" applyAlignment="1">
      <alignment horizontal="right" vertical="center" indent="13"/>
    </xf>
    <xf numFmtId="5" fontId="2" fillId="11" borderId="5" xfId="1" applyNumberFormat="1" applyFont="1" applyFill="1" applyBorder="1" applyAlignment="1">
      <alignment horizontal="right" vertical="center" indent="13"/>
    </xf>
    <xf numFmtId="5" fontId="2" fillId="11" borderId="11" xfId="1" applyNumberFormat="1" applyFont="1" applyFill="1" applyBorder="1" applyAlignment="1">
      <alignment horizontal="right" vertical="center" indent="13"/>
    </xf>
    <xf numFmtId="5" fontId="2" fillId="11" borderId="6" xfId="1" applyNumberFormat="1" applyFont="1" applyFill="1" applyBorder="1" applyAlignment="1">
      <alignment horizontal="right" vertical="center" indent="13"/>
    </xf>
    <xf numFmtId="5" fontId="2" fillId="11" borderId="14" xfId="1" applyNumberFormat="1" applyFont="1" applyFill="1" applyBorder="1" applyAlignment="1">
      <alignment horizontal="right" vertical="center" indent="13"/>
    </xf>
    <xf numFmtId="5" fontId="2" fillId="11" borderId="46" xfId="1" applyNumberFormat="1" applyFont="1" applyFill="1" applyBorder="1" applyAlignment="1">
      <alignment horizontal="right" vertical="center" indent="13"/>
    </xf>
    <xf numFmtId="5" fontId="2" fillId="11" borderId="47" xfId="1" applyNumberFormat="1" applyFont="1" applyFill="1" applyBorder="1" applyAlignment="1">
      <alignment horizontal="right" vertical="center" indent="13"/>
    </xf>
    <xf numFmtId="5" fontId="2" fillId="11" borderId="20" xfId="1" applyNumberFormat="1" applyFont="1" applyFill="1" applyBorder="1" applyAlignment="1">
      <alignment horizontal="right" vertical="center" indent="13"/>
    </xf>
    <xf numFmtId="5" fontId="2" fillId="11" borderId="21" xfId="1" applyNumberFormat="1" applyFont="1" applyFill="1" applyBorder="1" applyAlignment="1">
      <alignment horizontal="right" vertical="center" indent="13"/>
    </xf>
    <xf numFmtId="5" fontId="2" fillId="11" borderId="48" xfId="1" applyNumberFormat="1" applyFont="1" applyFill="1" applyBorder="1" applyAlignment="1">
      <alignment horizontal="right" vertical="center" indent="13"/>
    </xf>
    <xf numFmtId="5" fontId="2" fillId="11" borderId="49" xfId="1" applyNumberFormat="1" applyFont="1" applyFill="1" applyBorder="1" applyAlignment="1">
      <alignment horizontal="right" vertical="center" indent="13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1"/>
  <sheetViews>
    <sheetView zoomScale="80" zoomScaleNormal="80" workbookViewId="0">
      <pane ySplit="2" topLeftCell="A3" activePane="bottomLeft" state="frozen"/>
      <selection pane="bottomLeft" activeCell="E38" sqref="E38:F38"/>
    </sheetView>
  </sheetViews>
  <sheetFormatPr baseColWidth="10" defaultRowHeight="13.8" x14ac:dyDescent="0.25"/>
  <cols>
    <col min="1" max="1" width="37.3984375" bestFit="1" customWidth="1"/>
    <col min="2" max="2" width="9.59765625" customWidth="1"/>
    <col min="3" max="7" width="8.59765625" customWidth="1"/>
    <col min="8" max="8" width="10.19921875" customWidth="1"/>
    <col min="10" max="10" width="12.3984375" customWidth="1"/>
    <col min="11" max="11" width="11.3984375" bestFit="1" customWidth="1"/>
    <col min="12" max="12" width="10.09765625" bestFit="1" customWidth="1"/>
    <col min="14" max="14" width="8" bestFit="1" customWidth="1"/>
    <col min="15" max="15" width="15.09765625" customWidth="1"/>
    <col min="17" max="17" width="15.5" bestFit="1" customWidth="1"/>
    <col min="19" max="19" width="16.3984375" bestFit="1" customWidth="1"/>
    <col min="20" max="20" width="15.09765625" customWidth="1"/>
  </cols>
  <sheetData>
    <row r="1" spans="1:21" ht="21" x14ac:dyDescent="0.4">
      <c r="A1" s="98" t="s">
        <v>23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</row>
    <row r="2" spans="1:21" x14ac:dyDescent="0.25">
      <c r="A2" s="99" t="s">
        <v>30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</row>
    <row r="3" spans="1:21" ht="14.4" thickBot="1" x14ac:dyDescent="0.3">
      <c r="A3" s="30">
        <v>0.35</v>
      </c>
      <c r="B3" s="1"/>
      <c r="C3" s="1"/>
      <c r="D3" s="1"/>
      <c r="E3" s="1"/>
      <c r="F3" s="1"/>
      <c r="G3" s="1"/>
      <c r="H3" s="1"/>
    </row>
    <row r="4" spans="1:21" ht="35.1" customHeight="1" thickTop="1" thickBot="1" x14ac:dyDescent="0.3">
      <c r="A4" s="92" t="s">
        <v>22</v>
      </c>
      <c r="B4" s="93"/>
      <c r="C4" s="86" t="s">
        <v>20</v>
      </c>
      <c r="D4" s="87"/>
      <c r="E4" s="87"/>
      <c r="F4" s="88" t="s">
        <v>29</v>
      </c>
      <c r="G4" s="89"/>
      <c r="H4" s="90"/>
      <c r="I4" s="48" t="s">
        <v>8</v>
      </c>
      <c r="J4" s="48"/>
      <c r="K4" s="48" t="s">
        <v>9</v>
      </c>
      <c r="L4" s="48"/>
      <c r="M4" s="48" t="s">
        <v>12</v>
      </c>
      <c r="N4" s="48"/>
      <c r="O4" s="68" t="s">
        <v>27</v>
      </c>
      <c r="P4" s="69"/>
      <c r="Q4" s="15" t="s">
        <v>17</v>
      </c>
      <c r="R4" s="15" t="s">
        <v>18</v>
      </c>
      <c r="S4" s="15" t="s">
        <v>12</v>
      </c>
      <c r="T4" s="68" t="s">
        <v>26</v>
      </c>
      <c r="U4" s="69"/>
    </row>
    <row r="5" spans="1:21" ht="15" thickTop="1" thickBot="1" x14ac:dyDescent="0.3">
      <c r="A5" s="91" t="s">
        <v>4</v>
      </c>
      <c r="B5" s="4" t="s">
        <v>0</v>
      </c>
      <c r="C5" s="81">
        <f>148000*(1+A3)</f>
        <v>199800</v>
      </c>
      <c r="D5" s="82"/>
      <c r="E5" s="82"/>
      <c r="F5" s="94">
        <f>40300*(1+A3)</f>
        <v>54405</v>
      </c>
      <c r="G5" s="82"/>
      <c r="H5" s="95"/>
      <c r="O5" s="70">
        <f>37000*(1+A3)</f>
        <v>49950</v>
      </c>
      <c r="P5" s="71"/>
      <c r="Q5" s="11" t="s">
        <v>5</v>
      </c>
      <c r="R5" s="11" t="s">
        <v>5</v>
      </c>
      <c r="S5" s="11" t="s">
        <v>5</v>
      </c>
      <c r="T5" s="70">
        <f>12000*(1+A3)</f>
        <v>16200.000000000002</v>
      </c>
      <c r="U5" s="71"/>
    </row>
    <row r="6" spans="1:21" ht="15" thickTop="1" thickBot="1" x14ac:dyDescent="0.3">
      <c r="A6" s="91"/>
      <c r="B6" s="5" t="s">
        <v>1</v>
      </c>
      <c r="C6" s="61">
        <f>64000*(1+A3)</f>
        <v>86400</v>
      </c>
      <c r="D6" s="62"/>
      <c r="E6" s="62"/>
      <c r="F6" s="39">
        <f>17400*(1+A3)</f>
        <v>23490</v>
      </c>
      <c r="G6" s="62"/>
      <c r="H6" s="40"/>
      <c r="I6" s="83">
        <f>+C6*0.5</f>
        <v>43200</v>
      </c>
      <c r="J6" s="83"/>
      <c r="K6" s="83">
        <f>+C6*0.25</f>
        <v>21600</v>
      </c>
      <c r="L6" s="83"/>
      <c r="M6" s="83">
        <f>+C6*0</f>
        <v>0</v>
      </c>
      <c r="N6" s="84"/>
      <c r="O6" s="72">
        <f>19000*(1+A3)</f>
        <v>25650</v>
      </c>
      <c r="P6" s="73"/>
      <c r="Q6" s="31">
        <f>+O6*0.5</f>
        <v>12825</v>
      </c>
      <c r="R6" s="23">
        <f>+O6*0.25</f>
        <v>6412.5</v>
      </c>
      <c r="S6" s="23">
        <f>+M6*0</f>
        <v>0</v>
      </c>
      <c r="T6" s="72">
        <f>5000*(1+A3)</f>
        <v>6750</v>
      </c>
      <c r="U6" s="73"/>
    </row>
    <row r="7" spans="1:21" ht="14.4" thickTop="1" x14ac:dyDescent="0.25">
      <c r="A7" s="10" t="s">
        <v>3</v>
      </c>
      <c r="B7" s="6"/>
      <c r="C7" s="61">
        <f>32000*(1+A3)</f>
        <v>43200</v>
      </c>
      <c r="D7" s="62"/>
      <c r="E7" s="62"/>
      <c r="F7" s="39">
        <f>8700*(1+A3)</f>
        <v>11745</v>
      </c>
      <c r="G7" s="62"/>
      <c r="H7" s="40"/>
      <c r="J7" s="24"/>
      <c r="O7" s="72">
        <f>8400*(1+A3)</f>
        <v>11340</v>
      </c>
      <c r="P7" s="73"/>
      <c r="T7" s="72">
        <f>5000*(1+A3)</f>
        <v>6750</v>
      </c>
      <c r="U7" s="73"/>
    </row>
    <row r="8" spans="1:21" x14ac:dyDescent="0.25">
      <c r="A8" s="35" t="s">
        <v>2</v>
      </c>
      <c r="B8" s="12" t="s">
        <v>0</v>
      </c>
      <c r="C8" s="61">
        <f>354000*(1+A3)</f>
        <v>477900.00000000006</v>
      </c>
      <c r="D8" s="62"/>
      <c r="E8" s="62"/>
      <c r="F8" s="78" t="s">
        <v>15</v>
      </c>
      <c r="G8" s="79"/>
      <c r="H8" s="80"/>
      <c r="J8" s="24"/>
      <c r="O8" s="74">
        <f>94250*(1+A3)</f>
        <v>127237.50000000001</v>
      </c>
      <c r="P8" s="75"/>
      <c r="T8" s="74">
        <f>14000*(1+A3)</f>
        <v>18900</v>
      </c>
      <c r="U8" s="75"/>
    </row>
    <row r="9" spans="1:21" x14ac:dyDescent="0.25">
      <c r="A9" s="47"/>
      <c r="B9" s="12" t="s">
        <v>1</v>
      </c>
      <c r="C9" s="61">
        <f>232000*(1+A3)</f>
        <v>313200</v>
      </c>
      <c r="D9" s="62"/>
      <c r="E9" s="62"/>
      <c r="F9" s="78" t="s">
        <v>15</v>
      </c>
      <c r="G9" s="79"/>
      <c r="H9" s="80"/>
      <c r="J9" s="24"/>
      <c r="O9" s="74">
        <f>60000*(1+A3)</f>
        <v>81000</v>
      </c>
      <c r="P9" s="75">
        <v>7200</v>
      </c>
      <c r="T9" s="74">
        <f>7000*(1+A3)</f>
        <v>9450</v>
      </c>
      <c r="U9" s="75"/>
    </row>
    <row r="10" spans="1:21" x14ac:dyDescent="0.25">
      <c r="A10" s="35" t="s">
        <v>14</v>
      </c>
      <c r="B10" s="12" t="s">
        <v>0</v>
      </c>
      <c r="C10" s="61">
        <f>515000*(1+A3)</f>
        <v>695250</v>
      </c>
      <c r="D10" s="62"/>
      <c r="E10" s="62"/>
      <c r="F10" s="78" t="s">
        <v>15</v>
      </c>
      <c r="G10" s="79"/>
      <c r="H10" s="80"/>
      <c r="J10" s="24"/>
      <c r="O10" s="74">
        <f>120000*(1+A3)</f>
        <v>162000</v>
      </c>
      <c r="P10" s="75"/>
      <c r="T10" s="74">
        <f>15000*(1+A3)</f>
        <v>20250</v>
      </c>
      <c r="U10" s="75"/>
    </row>
    <row r="11" spans="1:21" ht="14.4" thickBot="1" x14ac:dyDescent="0.3">
      <c r="A11" s="36"/>
      <c r="B11" s="13" t="s">
        <v>1</v>
      </c>
      <c r="C11" s="63">
        <f>335000*(1+A3)</f>
        <v>452250.00000000006</v>
      </c>
      <c r="D11" s="64"/>
      <c r="E11" s="64"/>
      <c r="F11" s="65" t="s">
        <v>15</v>
      </c>
      <c r="G11" s="66"/>
      <c r="H11" s="67"/>
      <c r="J11" s="24"/>
      <c r="O11" s="76">
        <f>80000*(1+A3)</f>
        <v>108000</v>
      </c>
      <c r="P11" s="77"/>
      <c r="T11" s="76">
        <f>8000*(1+A3)</f>
        <v>10800</v>
      </c>
      <c r="U11" s="77"/>
    </row>
    <row r="12" spans="1:21" ht="18.600000000000001" thickTop="1" thickBot="1" x14ac:dyDescent="0.35">
      <c r="A12" s="26"/>
      <c r="B12" s="27"/>
      <c r="C12" s="28"/>
      <c r="D12" s="28"/>
      <c r="E12" s="28"/>
      <c r="F12" s="28"/>
      <c r="G12" s="28"/>
      <c r="J12" s="24"/>
    </row>
    <row r="13" spans="1:21" ht="35.1" customHeight="1" thickTop="1" thickBot="1" x14ac:dyDescent="0.3">
      <c r="A13" s="97">
        <v>46023</v>
      </c>
      <c r="B13" s="93"/>
      <c r="C13" s="86" t="s">
        <v>20</v>
      </c>
      <c r="D13" s="87"/>
      <c r="E13" s="87"/>
      <c r="F13" s="88" t="s">
        <v>28</v>
      </c>
      <c r="G13" s="89"/>
      <c r="H13" s="90"/>
      <c r="I13" s="48" t="s">
        <v>8</v>
      </c>
      <c r="J13" s="48"/>
      <c r="K13" s="48" t="s">
        <v>9</v>
      </c>
      <c r="L13" s="48"/>
      <c r="M13" s="48" t="s">
        <v>12</v>
      </c>
      <c r="N13" s="48"/>
      <c r="O13" s="68" t="s">
        <v>24</v>
      </c>
      <c r="P13" s="69"/>
      <c r="Q13" s="15" t="s">
        <v>17</v>
      </c>
      <c r="R13" s="15" t="s">
        <v>18</v>
      </c>
      <c r="S13" s="15" t="s">
        <v>12</v>
      </c>
      <c r="T13" s="100" t="s">
        <v>25</v>
      </c>
      <c r="U13" s="101"/>
    </row>
    <row r="14" spans="1:21" ht="15" thickTop="1" thickBot="1" x14ac:dyDescent="0.3">
      <c r="A14" s="91" t="s">
        <v>4</v>
      </c>
      <c r="B14" s="4" t="s">
        <v>0</v>
      </c>
      <c r="C14" s="81">
        <f>160000*(1+A3)</f>
        <v>216000</v>
      </c>
      <c r="D14" s="82"/>
      <c r="E14" s="82"/>
      <c r="F14" s="94">
        <f>43000*(1+A3)</f>
        <v>58050.000000000007</v>
      </c>
      <c r="G14" s="82"/>
      <c r="H14" s="95"/>
      <c r="O14" s="70">
        <f>60000*(1+A3)</f>
        <v>81000</v>
      </c>
      <c r="P14" s="71"/>
      <c r="Q14" s="11" t="s">
        <v>5</v>
      </c>
      <c r="R14" s="11" t="s">
        <v>5</v>
      </c>
      <c r="S14" s="11" t="s">
        <v>5</v>
      </c>
      <c r="T14" s="70">
        <f t="shared" ref="T14:T20" si="0">T5</f>
        <v>16200.000000000002</v>
      </c>
      <c r="U14" s="71"/>
    </row>
    <row r="15" spans="1:21" ht="15" thickTop="1" thickBot="1" x14ac:dyDescent="0.3">
      <c r="A15" s="91"/>
      <c r="B15" s="5" t="s">
        <v>1</v>
      </c>
      <c r="C15" s="61">
        <f>70000*(1+A3)</f>
        <v>94500</v>
      </c>
      <c r="D15" s="62"/>
      <c r="E15" s="62"/>
      <c r="F15" s="39">
        <f>19000*(1+A3)</f>
        <v>25650</v>
      </c>
      <c r="G15" s="62"/>
      <c r="H15" s="40"/>
      <c r="I15" s="83">
        <f>+C15*0.5</f>
        <v>47250</v>
      </c>
      <c r="J15" s="83"/>
      <c r="K15" s="83">
        <f>+C15*0.25</f>
        <v>23625</v>
      </c>
      <c r="L15" s="83"/>
      <c r="M15" s="83">
        <f>+C15*0</f>
        <v>0</v>
      </c>
      <c r="N15" s="84"/>
      <c r="O15" s="72">
        <f>30000*(1+A3)</f>
        <v>40500</v>
      </c>
      <c r="P15" s="73"/>
      <c r="Q15" s="14">
        <f>+O15*0.5</f>
        <v>20250</v>
      </c>
      <c r="R15" s="14">
        <f>+O15*0.25</f>
        <v>10125</v>
      </c>
      <c r="S15" s="14">
        <f>+M15*0</f>
        <v>0</v>
      </c>
      <c r="T15" s="72">
        <f t="shared" si="0"/>
        <v>6750</v>
      </c>
      <c r="U15" s="73"/>
    </row>
    <row r="16" spans="1:21" ht="14.4" thickTop="1" x14ac:dyDescent="0.25">
      <c r="A16" s="10" t="s">
        <v>3</v>
      </c>
      <c r="B16" s="6"/>
      <c r="C16" s="61">
        <f>35000*(1+A3)</f>
        <v>47250</v>
      </c>
      <c r="D16" s="62"/>
      <c r="E16" s="62"/>
      <c r="F16" s="39">
        <f>9500*(1+A3)</f>
        <v>12825</v>
      </c>
      <c r="G16" s="62"/>
      <c r="H16" s="40"/>
      <c r="J16" s="24"/>
      <c r="O16" s="72">
        <f>14000*(1+A3)</f>
        <v>18900</v>
      </c>
      <c r="P16" s="73"/>
      <c r="T16" s="72">
        <f t="shared" si="0"/>
        <v>6750</v>
      </c>
      <c r="U16" s="73"/>
    </row>
    <row r="17" spans="1:21" x14ac:dyDescent="0.25">
      <c r="A17" s="35" t="s">
        <v>2</v>
      </c>
      <c r="B17" s="12" t="s">
        <v>0</v>
      </c>
      <c r="C17" s="61">
        <f>336000*(1+A3)</f>
        <v>453600.00000000006</v>
      </c>
      <c r="D17" s="62"/>
      <c r="E17" s="62"/>
      <c r="F17" s="78" t="s">
        <v>15</v>
      </c>
      <c r="G17" s="79"/>
      <c r="H17" s="80"/>
      <c r="J17" s="24"/>
      <c r="O17" s="74">
        <f>162000*(1+A3)</f>
        <v>218700</v>
      </c>
      <c r="P17" s="75"/>
      <c r="Q17" s="24"/>
      <c r="T17" s="74">
        <f t="shared" si="0"/>
        <v>18900</v>
      </c>
      <c r="U17" s="75"/>
    </row>
    <row r="18" spans="1:21" x14ac:dyDescent="0.25">
      <c r="A18" s="47"/>
      <c r="B18" s="12" t="s">
        <v>1</v>
      </c>
      <c r="C18" s="61">
        <f>220400*(1+A3)</f>
        <v>297540</v>
      </c>
      <c r="D18" s="62"/>
      <c r="E18" s="62"/>
      <c r="F18" s="78" t="s">
        <v>15</v>
      </c>
      <c r="G18" s="79"/>
      <c r="H18" s="80"/>
      <c r="J18" s="24"/>
      <c r="O18" s="74">
        <f>102000*(1+A3)</f>
        <v>137700</v>
      </c>
      <c r="P18" s="75"/>
      <c r="T18" s="74">
        <f t="shared" si="0"/>
        <v>9450</v>
      </c>
      <c r="U18" s="75"/>
    </row>
    <row r="19" spans="1:21" x14ac:dyDescent="0.25">
      <c r="A19" s="35" t="s">
        <v>14</v>
      </c>
      <c r="B19" s="12" t="s">
        <v>0</v>
      </c>
      <c r="C19" s="61">
        <f>490000*(1+A3)</f>
        <v>661500</v>
      </c>
      <c r="D19" s="62"/>
      <c r="E19" s="62"/>
      <c r="F19" s="78" t="s">
        <v>15</v>
      </c>
      <c r="G19" s="79"/>
      <c r="H19" s="80"/>
      <c r="J19" s="24"/>
      <c r="O19" s="74">
        <f>228000*(1+A3)</f>
        <v>307800</v>
      </c>
      <c r="P19" s="75"/>
      <c r="T19" s="74">
        <f t="shared" si="0"/>
        <v>20250</v>
      </c>
      <c r="U19" s="75"/>
    </row>
    <row r="20" spans="1:21" ht="14.4" thickBot="1" x14ac:dyDescent="0.3">
      <c r="A20" s="36"/>
      <c r="B20" s="13" t="s">
        <v>1</v>
      </c>
      <c r="C20" s="63">
        <f>318000*(1+A3)</f>
        <v>429300</v>
      </c>
      <c r="D20" s="64"/>
      <c r="E20" s="64"/>
      <c r="F20" s="65" t="s">
        <v>15</v>
      </c>
      <c r="G20" s="66"/>
      <c r="H20" s="67"/>
      <c r="J20" s="24"/>
      <c r="O20" s="76">
        <f>144000*(1+A3)</f>
        <v>194400</v>
      </c>
      <c r="P20" s="77"/>
      <c r="T20" s="76">
        <f t="shared" si="0"/>
        <v>10800</v>
      </c>
      <c r="U20" s="77"/>
    </row>
    <row r="21" spans="1:21" ht="18.600000000000001" thickTop="1" thickBot="1" x14ac:dyDescent="0.35">
      <c r="A21" s="26"/>
      <c r="B21" s="29"/>
      <c r="C21" s="29"/>
      <c r="D21" s="29"/>
      <c r="E21" s="29"/>
      <c r="F21" s="29"/>
      <c r="G21" s="29"/>
      <c r="H21" s="2"/>
      <c r="J21" s="24"/>
    </row>
    <row r="22" spans="1:21" ht="16.5" customHeight="1" thickTop="1" thickBot="1" x14ac:dyDescent="0.3">
      <c r="A22" s="55">
        <v>46054</v>
      </c>
      <c r="B22" s="56"/>
      <c r="C22" s="57" t="s">
        <v>13</v>
      </c>
      <c r="D22" s="58"/>
      <c r="E22" s="57" t="s">
        <v>5</v>
      </c>
      <c r="F22" s="58"/>
      <c r="G22" s="59" t="s">
        <v>6</v>
      </c>
      <c r="H22" s="60"/>
      <c r="I22" s="48" t="s">
        <v>8</v>
      </c>
      <c r="J22" s="48"/>
      <c r="K22" s="48" t="s">
        <v>9</v>
      </c>
      <c r="L22" s="48"/>
      <c r="M22" s="48" t="s">
        <v>12</v>
      </c>
      <c r="N22" s="48"/>
    </row>
    <row r="23" spans="1:21" ht="15" thickTop="1" thickBot="1" x14ac:dyDescent="0.3">
      <c r="A23" s="49" t="s">
        <v>4</v>
      </c>
      <c r="B23" s="9" t="s">
        <v>0</v>
      </c>
      <c r="C23" s="51"/>
      <c r="D23" s="52"/>
      <c r="E23" s="53">
        <f>+O14*1.05</f>
        <v>85050</v>
      </c>
      <c r="F23" s="54"/>
      <c r="G23" s="53">
        <f>+T14*1.05</f>
        <v>17010.000000000004</v>
      </c>
      <c r="H23" s="54"/>
      <c r="I23" s="11" t="s">
        <v>13</v>
      </c>
      <c r="J23" s="11" t="s">
        <v>5</v>
      </c>
      <c r="K23" s="11" t="s">
        <v>13</v>
      </c>
      <c r="L23" s="11" t="s">
        <v>5</v>
      </c>
      <c r="M23" s="11" t="s">
        <v>13</v>
      </c>
      <c r="N23" s="11" t="s">
        <v>5</v>
      </c>
      <c r="O23" s="24"/>
    </row>
    <row r="24" spans="1:21" ht="15" thickTop="1" thickBot="1" x14ac:dyDescent="0.3">
      <c r="A24" s="50"/>
      <c r="B24" s="7" t="s">
        <v>1</v>
      </c>
      <c r="C24" s="37"/>
      <c r="D24" s="38"/>
      <c r="E24" s="45">
        <f t="shared" ref="E24:E29" si="1">+O15*1.05</f>
        <v>42525</v>
      </c>
      <c r="F24" s="46"/>
      <c r="G24" s="45">
        <f t="shared" ref="G24:G29" si="2">+T15*1.05</f>
        <v>7087.5</v>
      </c>
      <c r="H24" s="46"/>
      <c r="I24" s="18"/>
      <c r="J24" s="14">
        <f>+E24*0.5</f>
        <v>21262.5</v>
      </c>
      <c r="K24" s="18"/>
      <c r="L24" s="14">
        <f>+E24*0.25</f>
        <v>10631.25</v>
      </c>
      <c r="M24" s="18"/>
      <c r="N24" s="14">
        <f>+E24*0</f>
        <v>0</v>
      </c>
      <c r="O24" s="24"/>
      <c r="Q24" s="25"/>
    </row>
    <row r="25" spans="1:21" ht="14.4" thickTop="1" x14ac:dyDescent="0.25">
      <c r="A25" s="3" t="s">
        <v>3</v>
      </c>
      <c r="B25" s="8"/>
      <c r="C25" s="37"/>
      <c r="D25" s="38"/>
      <c r="E25" s="45">
        <f t="shared" si="1"/>
        <v>19845</v>
      </c>
      <c r="F25" s="46"/>
      <c r="G25" s="45">
        <f t="shared" si="2"/>
        <v>7087.5</v>
      </c>
      <c r="H25" s="46"/>
      <c r="O25" s="24"/>
      <c r="Q25" s="24"/>
    </row>
    <row r="26" spans="1:21" x14ac:dyDescent="0.25">
      <c r="A26" s="35" t="s">
        <v>2</v>
      </c>
      <c r="B26" s="16" t="s">
        <v>0</v>
      </c>
      <c r="C26" s="37"/>
      <c r="D26" s="38"/>
      <c r="E26" s="45">
        <f t="shared" si="1"/>
        <v>229635</v>
      </c>
      <c r="F26" s="46"/>
      <c r="G26" s="45">
        <f t="shared" si="2"/>
        <v>19845</v>
      </c>
      <c r="H26" s="46"/>
      <c r="O26" s="24"/>
      <c r="Q26" s="24"/>
    </row>
    <row r="27" spans="1:21" x14ac:dyDescent="0.25">
      <c r="A27" s="47"/>
      <c r="B27" s="16" t="s">
        <v>1</v>
      </c>
      <c r="C27" s="37"/>
      <c r="D27" s="38"/>
      <c r="E27" s="45">
        <f t="shared" si="1"/>
        <v>144585</v>
      </c>
      <c r="F27" s="46"/>
      <c r="G27" s="45">
        <f t="shared" si="2"/>
        <v>9922.5</v>
      </c>
      <c r="H27" s="46"/>
      <c r="O27" s="24"/>
      <c r="Q27" s="24"/>
    </row>
    <row r="28" spans="1:21" x14ac:dyDescent="0.25">
      <c r="A28" s="35" t="s">
        <v>14</v>
      </c>
      <c r="B28" s="16" t="s">
        <v>0</v>
      </c>
      <c r="C28" s="37"/>
      <c r="D28" s="38"/>
      <c r="E28" s="39">
        <f t="shared" si="1"/>
        <v>323190</v>
      </c>
      <c r="F28" s="40"/>
      <c r="G28" s="39">
        <f t="shared" si="2"/>
        <v>21262.5</v>
      </c>
      <c r="H28" s="40"/>
      <c r="O28" s="24"/>
      <c r="Q28" s="24"/>
    </row>
    <row r="29" spans="1:21" ht="14.4" thickBot="1" x14ac:dyDescent="0.3">
      <c r="A29" s="36"/>
      <c r="B29" s="17" t="s">
        <v>1</v>
      </c>
      <c r="C29" s="41"/>
      <c r="D29" s="42"/>
      <c r="E29" s="43">
        <f t="shared" si="1"/>
        <v>204120</v>
      </c>
      <c r="F29" s="44"/>
      <c r="G29" s="43">
        <f t="shared" si="2"/>
        <v>11340</v>
      </c>
      <c r="H29" s="44"/>
      <c r="O29" s="24"/>
      <c r="Q29" s="24"/>
    </row>
    <row r="30" spans="1:21" ht="15" thickTop="1" thickBot="1" x14ac:dyDescent="0.3">
      <c r="C30" s="2"/>
      <c r="D30" s="2"/>
      <c r="O30" s="24"/>
      <c r="Q30" s="24"/>
    </row>
    <row r="31" spans="1:21" ht="15" thickTop="1" thickBot="1" x14ac:dyDescent="0.3">
      <c r="A31" s="55">
        <v>46082</v>
      </c>
      <c r="B31" s="56"/>
      <c r="C31" s="57" t="s">
        <v>13</v>
      </c>
      <c r="D31" s="58"/>
      <c r="E31" s="57" t="s">
        <v>5</v>
      </c>
      <c r="F31" s="58"/>
      <c r="G31" s="59" t="s">
        <v>6</v>
      </c>
      <c r="H31" s="60"/>
      <c r="I31" s="48" t="s">
        <v>8</v>
      </c>
      <c r="J31" s="48"/>
      <c r="K31" s="48" t="s">
        <v>9</v>
      </c>
      <c r="L31" s="48"/>
      <c r="M31" s="48" t="s">
        <v>12</v>
      </c>
      <c r="N31" s="48"/>
    </row>
    <row r="32" spans="1:21" ht="15" thickTop="1" thickBot="1" x14ac:dyDescent="0.3">
      <c r="A32" s="49" t="s">
        <v>4</v>
      </c>
      <c r="B32" s="9" t="s">
        <v>0</v>
      </c>
      <c r="C32" s="51"/>
      <c r="D32" s="52"/>
      <c r="E32" s="53">
        <f>E23</f>
        <v>85050</v>
      </c>
      <c r="F32" s="54"/>
      <c r="G32" s="53">
        <f t="shared" ref="G32:G38" si="3">+G23</f>
        <v>17010.000000000004</v>
      </c>
      <c r="H32" s="54"/>
      <c r="I32" s="11" t="s">
        <v>13</v>
      </c>
      <c r="J32" s="11" t="s">
        <v>5</v>
      </c>
      <c r="K32" s="11" t="s">
        <v>13</v>
      </c>
      <c r="L32" s="11" t="s">
        <v>5</v>
      </c>
      <c r="M32" s="11" t="s">
        <v>13</v>
      </c>
      <c r="N32" s="11" t="s">
        <v>5</v>
      </c>
    </row>
    <row r="33" spans="1:14" ht="15" thickTop="1" thickBot="1" x14ac:dyDescent="0.3">
      <c r="A33" s="50"/>
      <c r="B33" s="7" t="s">
        <v>1</v>
      </c>
      <c r="C33" s="37"/>
      <c r="D33" s="38"/>
      <c r="E33" s="45">
        <f t="shared" ref="E33:E38" si="4">E24</f>
        <v>42525</v>
      </c>
      <c r="F33" s="46"/>
      <c r="G33" s="45">
        <f t="shared" si="3"/>
        <v>7087.5</v>
      </c>
      <c r="H33" s="46"/>
      <c r="I33" s="18"/>
      <c r="J33" s="14">
        <f>+E33*0.5</f>
        <v>21262.5</v>
      </c>
      <c r="K33" s="18"/>
      <c r="L33" s="14">
        <f>+E33*0.25</f>
        <v>10631.25</v>
      </c>
      <c r="M33" s="18"/>
      <c r="N33" s="14">
        <f>+E33*0</f>
        <v>0</v>
      </c>
    </row>
    <row r="34" spans="1:14" ht="14.4" thickTop="1" x14ac:dyDescent="0.25">
      <c r="A34" s="3" t="s">
        <v>3</v>
      </c>
      <c r="B34" s="8"/>
      <c r="C34" s="37"/>
      <c r="D34" s="38"/>
      <c r="E34" s="45">
        <f t="shared" si="4"/>
        <v>19845</v>
      </c>
      <c r="F34" s="46"/>
      <c r="G34" s="45">
        <f t="shared" si="3"/>
        <v>7087.5</v>
      </c>
      <c r="H34" s="46"/>
    </row>
    <row r="35" spans="1:14" x14ac:dyDescent="0.25">
      <c r="A35" s="35" t="s">
        <v>2</v>
      </c>
      <c r="B35" s="16" t="s">
        <v>0</v>
      </c>
      <c r="C35" s="37"/>
      <c r="D35" s="38"/>
      <c r="E35" s="45">
        <f t="shared" si="4"/>
        <v>229635</v>
      </c>
      <c r="F35" s="46"/>
      <c r="G35" s="45">
        <f t="shared" si="3"/>
        <v>19845</v>
      </c>
      <c r="H35" s="46"/>
    </row>
    <row r="36" spans="1:14" x14ac:dyDescent="0.25">
      <c r="A36" s="47"/>
      <c r="B36" s="16" t="s">
        <v>1</v>
      </c>
      <c r="C36" s="37"/>
      <c r="D36" s="38"/>
      <c r="E36" s="45">
        <f t="shared" si="4"/>
        <v>144585</v>
      </c>
      <c r="F36" s="46"/>
      <c r="G36" s="45">
        <f t="shared" si="3"/>
        <v>9922.5</v>
      </c>
      <c r="H36" s="46"/>
    </row>
    <row r="37" spans="1:14" x14ac:dyDescent="0.25">
      <c r="A37" s="35" t="s">
        <v>14</v>
      </c>
      <c r="B37" s="16" t="s">
        <v>0</v>
      </c>
      <c r="C37" s="37"/>
      <c r="D37" s="38"/>
      <c r="E37" s="39">
        <f t="shared" si="4"/>
        <v>323190</v>
      </c>
      <c r="F37" s="40"/>
      <c r="G37" s="39">
        <f t="shared" si="3"/>
        <v>21262.5</v>
      </c>
      <c r="H37" s="40"/>
    </row>
    <row r="38" spans="1:14" ht="14.4" thickBot="1" x14ac:dyDescent="0.3">
      <c r="A38" s="36"/>
      <c r="B38" s="17" t="s">
        <v>1</v>
      </c>
      <c r="C38" s="41"/>
      <c r="D38" s="42"/>
      <c r="E38" s="43">
        <f t="shared" si="4"/>
        <v>204120</v>
      </c>
      <c r="F38" s="44"/>
      <c r="G38" s="43">
        <f t="shared" si="3"/>
        <v>11340</v>
      </c>
      <c r="H38" s="44"/>
    </row>
    <row r="39" spans="1:14" ht="14.4" thickTop="1" x14ac:dyDescent="0.25">
      <c r="C39" s="2"/>
      <c r="D39" s="2"/>
    </row>
    <row r="41" spans="1:14" x14ac:dyDescent="0.25">
      <c r="A41" s="85" t="s">
        <v>21</v>
      </c>
      <c r="B41" s="85"/>
      <c r="C41" s="85"/>
      <c r="D41" s="85"/>
      <c r="E41" s="85"/>
      <c r="F41" s="85"/>
      <c r="G41" s="85"/>
      <c r="H41" s="85"/>
    </row>
    <row r="42" spans="1:14" x14ac:dyDescent="0.25">
      <c r="A42" s="19"/>
      <c r="B42" s="19"/>
      <c r="C42" s="19"/>
      <c r="D42" s="19"/>
      <c r="E42" s="19"/>
      <c r="F42" s="19"/>
      <c r="G42" s="19"/>
      <c r="H42" s="19"/>
    </row>
    <row r="43" spans="1:14" x14ac:dyDescent="0.25">
      <c r="A43" s="96" t="s">
        <v>16</v>
      </c>
      <c r="B43" s="96"/>
      <c r="C43" s="96"/>
      <c r="D43" s="96"/>
      <c r="E43" s="96"/>
      <c r="F43" s="96"/>
      <c r="G43" s="96"/>
      <c r="H43" s="96"/>
      <c r="K43" t="s">
        <v>19</v>
      </c>
    </row>
    <row r="44" spans="1:14" x14ac:dyDescent="0.25">
      <c r="A44" s="96"/>
      <c r="B44" s="96"/>
      <c r="C44" s="96"/>
      <c r="D44" s="96"/>
      <c r="E44" s="96"/>
      <c r="F44" s="96"/>
      <c r="G44" s="96"/>
      <c r="H44" s="96"/>
    </row>
    <row r="45" spans="1:14" x14ac:dyDescent="0.25">
      <c r="A45" s="20" t="s">
        <v>7</v>
      </c>
      <c r="B45" s="21">
        <v>0</v>
      </c>
      <c r="C45" s="20"/>
      <c r="D45" s="20"/>
      <c r="E45" s="20"/>
      <c r="F45" s="20"/>
      <c r="G45" s="20"/>
      <c r="H45" s="20"/>
      <c r="K45" s="22">
        <f>PMT(0.035,4,140500)</f>
        <v>-38251.285099044799</v>
      </c>
    </row>
    <row r="46" spans="1:14" x14ac:dyDescent="0.25">
      <c r="A46" s="20" t="s">
        <v>8</v>
      </c>
      <c r="B46" s="21">
        <v>0.5</v>
      </c>
      <c r="C46" s="20"/>
      <c r="D46" s="20"/>
      <c r="E46" s="20"/>
      <c r="F46" s="20"/>
      <c r="G46" s="20"/>
      <c r="H46" s="20"/>
      <c r="K46" s="22">
        <f>PMT(0.035,4,61000)</f>
        <v>-16607.319509193825</v>
      </c>
    </row>
    <row r="47" spans="1:14" x14ac:dyDescent="0.25">
      <c r="A47" s="20" t="s">
        <v>9</v>
      </c>
      <c r="B47" s="21">
        <v>0.75</v>
      </c>
      <c r="C47" s="20"/>
      <c r="D47" s="20"/>
      <c r="E47" s="20"/>
      <c r="F47" s="20"/>
      <c r="G47" s="20"/>
      <c r="H47" s="20"/>
      <c r="K47" s="22">
        <f>PMT(0.035,4,30400)</f>
        <v>-8276.4346406474142</v>
      </c>
    </row>
    <row r="48" spans="1:14" x14ac:dyDescent="0.25">
      <c r="A48" s="20" t="s">
        <v>10</v>
      </c>
      <c r="B48" s="21">
        <v>1</v>
      </c>
      <c r="C48" s="20"/>
      <c r="D48" s="20"/>
      <c r="E48" s="20"/>
      <c r="F48" s="20"/>
      <c r="G48" s="20"/>
      <c r="H48" s="20"/>
    </row>
    <row r="49" spans="1:8" x14ac:dyDescent="0.25">
      <c r="A49" s="20"/>
      <c r="B49" s="20"/>
      <c r="C49" s="20"/>
      <c r="D49" s="20"/>
      <c r="E49" s="20"/>
      <c r="F49" s="20"/>
      <c r="G49" s="20"/>
      <c r="H49" s="20"/>
    </row>
    <row r="50" spans="1:8" x14ac:dyDescent="0.25">
      <c r="A50" s="96" t="s">
        <v>11</v>
      </c>
      <c r="B50" s="96"/>
      <c r="C50" s="96"/>
      <c r="D50" s="96"/>
      <c r="E50" s="96"/>
      <c r="F50" s="96"/>
      <c r="G50" s="96"/>
      <c r="H50" s="96"/>
    </row>
    <row r="51" spans="1:8" x14ac:dyDescent="0.25">
      <c r="A51" s="96"/>
      <c r="B51" s="96"/>
      <c r="C51" s="96"/>
      <c r="D51" s="96"/>
      <c r="E51" s="96"/>
      <c r="F51" s="96"/>
      <c r="G51" s="96"/>
      <c r="H51" s="96"/>
    </row>
  </sheetData>
  <mergeCells count="151">
    <mergeCell ref="O20:P20"/>
    <mergeCell ref="T20:U20"/>
    <mergeCell ref="A1:U1"/>
    <mergeCell ref="A2:U2"/>
    <mergeCell ref="O16:P16"/>
    <mergeCell ref="T16:U16"/>
    <mergeCell ref="C17:E17"/>
    <mergeCell ref="F17:H17"/>
    <mergeCell ref="O17:P17"/>
    <mergeCell ref="T17:U17"/>
    <mergeCell ref="C18:E18"/>
    <mergeCell ref="F18:H18"/>
    <mergeCell ref="O18:P18"/>
    <mergeCell ref="T18:U18"/>
    <mergeCell ref="O13:P13"/>
    <mergeCell ref="T13:U13"/>
    <mergeCell ref="C14:E14"/>
    <mergeCell ref="F14:H14"/>
    <mergeCell ref="O14:P14"/>
    <mergeCell ref="T14:U14"/>
    <mergeCell ref="I15:J15"/>
    <mergeCell ref="K15:L15"/>
    <mergeCell ref="M15:N15"/>
    <mergeCell ref="O15:P15"/>
    <mergeCell ref="T15:U15"/>
    <mergeCell ref="K13:L13"/>
    <mergeCell ref="M13:N13"/>
    <mergeCell ref="O19:P19"/>
    <mergeCell ref="T19:U19"/>
    <mergeCell ref="A43:H44"/>
    <mergeCell ref="A50:H51"/>
    <mergeCell ref="A23:A24"/>
    <mergeCell ref="C23:D23"/>
    <mergeCell ref="E23:F23"/>
    <mergeCell ref="G23:H23"/>
    <mergeCell ref="C24:D24"/>
    <mergeCell ref="E24:F24"/>
    <mergeCell ref="G24:H24"/>
    <mergeCell ref="A22:B22"/>
    <mergeCell ref="C22:D22"/>
    <mergeCell ref="E22:F22"/>
    <mergeCell ref="G22:H22"/>
    <mergeCell ref="I22:J22"/>
    <mergeCell ref="K22:L22"/>
    <mergeCell ref="M22:N22"/>
    <mergeCell ref="A19:A20"/>
    <mergeCell ref="A13:B13"/>
    <mergeCell ref="K31:L31"/>
    <mergeCell ref="I4:J4"/>
    <mergeCell ref="K4:L4"/>
    <mergeCell ref="M4:N4"/>
    <mergeCell ref="I6:J6"/>
    <mergeCell ref="K6:L6"/>
    <mergeCell ref="M6:N6"/>
    <mergeCell ref="A41:H41"/>
    <mergeCell ref="C13:E13"/>
    <mergeCell ref="F13:H13"/>
    <mergeCell ref="C16:E16"/>
    <mergeCell ref="F16:H16"/>
    <mergeCell ref="C19:E19"/>
    <mergeCell ref="F19:H19"/>
    <mergeCell ref="A5:A6"/>
    <mergeCell ref="A14:A15"/>
    <mergeCell ref="A17:A18"/>
    <mergeCell ref="A4:B4"/>
    <mergeCell ref="A8:A9"/>
    <mergeCell ref="F5:H5"/>
    <mergeCell ref="C4:E4"/>
    <mergeCell ref="F4:H4"/>
    <mergeCell ref="F6:H6"/>
    <mergeCell ref="F7:H7"/>
    <mergeCell ref="F8:H8"/>
    <mergeCell ref="F9:H9"/>
    <mergeCell ref="I13:J13"/>
    <mergeCell ref="C5:E5"/>
    <mergeCell ref="C7:E7"/>
    <mergeCell ref="C6:E6"/>
    <mergeCell ref="C8:E8"/>
    <mergeCell ref="C9:E9"/>
    <mergeCell ref="C10:E10"/>
    <mergeCell ref="C11:E11"/>
    <mergeCell ref="F10:H10"/>
    <mergeCell ref="F11:H11"/>
    <mergeCell ref="T4:U4"/>
    <mergeCell ref="T5:U5"/>
    <mergeCell ref="T6:U6"/>
    <mergeCell ref="T7:U7"/>
    <mergeCell ref="T8:U8"/>
    <mergeCell ref="O9:P9"/>
    <mergeCell ref="O10:P10"/>
    <mergeCell ref="O11:P11"/>
    <mergeCell ref="O4:P4"/>
    <mergeCell ref="O5:P5"/>
    <mergeCell ref="O6:P6"/>
    <mergeCell ref="O7:P7"/>
    <mergeCell ref="O8:P8"/>
    <mergeCell ref="T9:U9"/>
    <mergeCell ref="T10:U10"/>
    <mergeCell ref="T11:U11"/>
    <mergeCell ref="A10:A11"/>
    <mergeCell ref="C15:E15"/>
    <mergeCell ref="F15:H15"/>
    <mergeCell ref="A28:A29"/>
    <mergeCell ref="C28:D28"/>
    <mergeCell ref="E28:F28"/>
    <mergeCell ref="G28:H28"/>
    <mergeCell ref="C29:D29"/>
    <mergeCell ref="E29:F29"/>
    <mergeCell ref="G29:H29"/>
    <mergeCell ref="C25:D25"/>
    <mergeCell ref="E25:F25"/>
    <mergeCell ref="G25:H25"/>
    <mergeCell ref="A26:A27"/>
    <mergeCell ref="C26:D26"/>
    <mergeCell ref="E26:F26"/>
    <mergeCell ref="G26:H26"/>
    <mergeCell ref="C27:D27"/>
    <mergeCell ref="E27:F27"/>
    <mergeCell ref="G27:H27"/>
    <mergeCell ref="C20:E20"/>
    <mergeCell ref="F20:H20"/>
    <mergeCell ref="M31:N31"/>
    <mergeCell ref="A32:A33"/>
    <mergeCell ref="C32:D32"/>
    <mergeCell ref="E32:F32"/>
    <mergeCell ref="G32:H32"/>
    <mergeCell ref="C33:D33"/>
    <mergeCell ref="E33:F33"/>
    <mergeCell ref="G33:H33"/>
    <mergeCell ref="A31:B31"/>
    <mergeCell ref="C31:D31"/>
    <mergeCell ref="E31:F31"/>
    <mergeCell ref="G31:H31"/>
    <mergeCell ref="I31:J31"/>
    <mergeCell ref="A37:A38"/>
    <mergeCell ref="C37:D37"/>
    <mergeCell ref="E37:F37"/>
    <mergeCell ref="G37:H37"/>
    <mergeCell ref="C38:D38"/>
    <mergeCell ref="E38:F38"/>
    <mergeCell ref="G38:H38"/>
    <mergeCell ref="C34:D34"/>
    <mergeCell ref="E34:F34"/>
    <mergeCell ref="G34:H34"/>
    <mergeCell ref="A35:A36"/>
    <mergeCell ref="C35:D35"/>
    <mergeCell ref="E35:F35"/>
    <mergeCell ref="G35:H35"/>
    <mergeCell ref="C36:D36"/>
    <mergeCell ref="E36:F36"/>
    <mergeCell ref="G36:H3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2"/>
  <sheetViews>
    <sheetView tabSelected="1" zoomScale="80" zoomScaleNormal="80" workbookViewId="0">
      <selection activeCell="K20" sqref="A1:K20"/>
    </sheetView>
  </sheetViews>
  <sheetFormatPr baseColWidth="10" defaultRowHeight="13.8" x14ac:dyDescent="0.25"/>
  <cols>
    <col min="1" max="1" width="37.5" bestFit="1" customWidth="1"/>
    <col min="2" max="2" width="9.59765625" customWidth="1"/>
    <col min="3" max="3" width="13.59765625" customWidth="1"/>
    <col min="4" max="4" width="13.19921875" customWidth="1"/>
    <col min="5" max="5" width="17" bestFit="1" customWidth="1"/>
    <col min="6" max="6" width="9" customWidth="1"/>
    <col min="7" max="7" width="8.59765625" customWidth="1"/>
    <col min="8" max="8" width="10.19921875" customWidth="1"/>
    <col min="9" max="9" width="16" customWidth="1"/>
    <col min="10" max="10" width="16.19921875" customWidth="1"/>
    <col min="11" max="11" width="17.3984375" customWidth="1"/>
    <col min="12" max="12" width="15.09765625" customWidth="1"/>
    <col min="14" max="14" width="15.59765625" bestFit="1" customWidth="1"/>
    <col min="15" max="15" width="11.09765625" bestFit="1" customWidth="1"/>
    <col min="16" max="16" width="16.5" bestFit="1" customWidth="1"/>
    <col min="17" max="17" width="15.09765625" customWidth="1"/>
  </cols>
  <sheetData>
    <row r="1" spans="1:18" ht="21" x14ac:dyDescent="0.4">
      <c r="A1" s="98" t="s">
        <v>23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33"/>
      <c r="M1" s="33"/>
      <c r="N1" s="33"/>
      <c r="O1" s="33"/>
      <c r="P1" s="33"/>
      <c r="Q1" s="33"/>
      <c r="R1" s="33"/>
    </row>
    <row r="2" spans="1:18" ht="23.25" customHeight="1" x14ac:dyDescent="0.25">
      <c r="A2" s="108" t="s">
        <v>31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34"/>
      <c r="M2" s="34"/>
      <c r="N2" s="34"/>
      <c r="O2" s="34"/>
      <c r="P2" s="34"/>
      <c r="Q2" s="34"/>
      <c r="R2" s="34"/>
    </row>
    <row r="3" spans="1:18" ht="14.4" thickBot="1" x14ac:dyDescent="0.3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</row>
    <row r="4" spans="1:18" ht="35.1" customHeight="1" thickTop="1" thickBot="1" x14ac:dyDescent="0.3">
      <c r="A4" s="92" t="s">
        <v>22</v>
      </c>
      <c r="B4" s="93"/>
      <c r="C4" s="86" t="s">
        <v>20</v>
      </c>
      <c r="D4" s="87"/>
      <c r="E4" s="87"/>
      <c r="F4" s="88" t="s">
        <v>29</v>
      </c>
      <c r="G4" s="89"/>
      <c r="H4" s="90"/>
      <c r="I4" s="15" t="s">
        <v>8</v>
      </c>
      <c r="J4" s="15" t="s">
        <v>9</v>
      </c>
      <c r="K4" s="15" t="s">
        <v>12</v>
      </c>
    </row>
    <row r="5" spans="1:18" ht="15" thickTop="1" thickBot="1" x14ac:dyDescent="0.3">
      <c r="A5" s="91" t="s">
        <v>4</v>
      </c>
      <c r="B5" s="4" t="s">
        <v>0</v>
      </c>
      <c r="C5" s="133">
        <v>200000</v>
      </c>
      <c r="D5" s="134"/>
      <c r="E5" s="134"/>
      <c r="F5" s="105">
        <v>55000</v>
      </c>
      <c r="G5" s="104"/>
      <c r="H5" s="106"/>
      <c r="I5" s="112"/>
      <c r="J5" s="113"/>
      <c r="K5" s="113"/>
    </row>
    <row r="6" spans="1:18" ht="15" thickTop="1" thickBot="1" x14ac:dyDescent="0.3">
      <c r="A6" s="91"/>
      <c r="B6" s="5" t="s">
        <v>1</v>
      </c>
      <c r="C6" s="135">
        <v>87000</v>
      </c>
      <c r="D6" s="136"/>
      <c r="E6" s="136"/>
      <c r="F6" s="102">
        <v>24000</v>
      </c>
      <c r="G6" s="103"/>
      <c r="H6" s="107"/>
      <c r="I6" s="14">
        <f>+C6*0.5</f>
        <v>43500</v>
      </c>
      <c r="J6" s="14">
        <f>+C6*0.25</f>
        <v>21750</v>
      </c>
      <c r="K6" s="14">
        <f>+C6*0</f>
        <v>0</v>
      </c>
    </row>
    <row r="7" spans="1:18" ht="15" thickTop="1" thickBot="1" x14ac:dyDescent="0.3">
      <c r="A7" s="10" t="s">
        <v>3</v>
      </c>
      <c r="B7" s="6"/>
      <c r="C7" s="135">
        <v>40000</v>
      </c>
      <c r="D7" s="136"/>
      <c r="E7" s="136"/>
      <c r="F7" s="102">
        <v>11000</v>
      </c>
      <c r="G7" s="103"/>
      <c r="H7" s="107"/>
      <c r="I7" s="114"/>
      <c r="J7" s="115"/>
      <c r="K7" s="115"/>
    </row>
    <row r="8" spans="1:18" ht="15" thickTop="1" thickBot="1" x14ac:dyDescent="0.3">
      <c r="A8" s="35" t="s">
        <v>2</v>
      </c>
      <c r="B8" s="12" t="s">
        <v>0</v>
      </c>
      <c r="C8" s="135">
        <v>470000</v>
      </c>
      <c r="D8" s="136"/>
      <c r="E8" s="136"/>
      <c r="F8" s="78" t="s">
        <v>15</v>
      </c>
      <c r="G8" s="79"/>
      <c r="H8" s="80"/>
      <c r="I8" s="116"/>
      <c r="J8" s="117"/>
      <c r="K8" s="117"/>
    </row>
    <row r="9" spans="1:18" ht="15" thickTop="1" thickBot="1" x14ac:dyDescent="0.3">
      <c r="A9" s="47"/>
      <c r="B9" s="12" t="s">
        <v>1</v>
      </c>
      <c r="C9" s="135">
        <v>315000</v>
      </c>
      <c r="D9" s="136"/>
      <c r="E9" s="136"/>
      <c r="F9" s="78" t="s">
        <v>15</v>
      </c>
      <c r="G9" s="79"/>
      <c r="H9" s="80"/>
      <c r="I9" s="116"/>
      <c r="J9" s="117"/>
      <c r="K9" s="117"/>
    </row>
    <row r="10" spans="1:18" ht="15" thickTop="1" thickBot="1" x14ac:dyDescent="0.3">
      <c r="A10" s="35" t="s">
        <v>14</v>
      </c>
      <c r="B10" s="12" t="s">
        <v>0</v>
      </c>
      <c r="C10" s="135">
        <v>700000</v>
      </c>
      <c r="D10" s="136"/>
      <c r="E10" s="136"/>
      <c r="F10" s="78" t="s">
        <v>15</v>
      </c>
      <c r="G10" s="79"/>
      <c r="H10" s="80"/>
      <c r="I10" s="116"/>
      <c r="J10" s="117"/>
      <c r="K10" s="117"/>
    </row>
    <row r="11" spans="1:18" ht="15" thickTop="1" thickBot="1" x14ac:dyDescent="0.3">
      <c r="A11" s="36"/>
      <c r="B11" s="13" t="s">
        <v>1</v>
      </c>
      <c r="C11" s="137">
        <v>450000</v>
      </c>
      <c r="D11" s="138"/>
      <c r="E11" s="138"/>
      <c r="F11" s="65" t="s">
        <v>15</v>
      </c>
      <c r="G11" s="66"/>
      <c r="H11" s="67"/>
      <c r="I11" s="116"/>
      <c r="J11" s="117"/>
      <c r="K11" s="117"/>
    </row>
    <row r="12" spans="1:18" ht="18.600000000000001" thickTop="1" thickBot="1" x14ac:dyDescent="0.35">
      <c r="A12" s="26"/>
      <c r="B12" s="27"/>
      <c r="C12" s="28"/>
      <c r="D12" s="28"/>
      <c r="E12" s="28"/>
      <c r="F12" s="28"/>
      <c r="G12" s="28"/>
      <c r="I12" s="117"/>
      <c r="J12" s="117"/>
      <c r="K12" s="117"/>
    </row>
    <row r="13" spans="1:18" ht="15" thickTop="1" thickBot="1" x14ac:dyDescent="0.3">
      <c r="A13" s="109" t="s">
        <v>27</v>
      </c>
      <c r="B13" s="110"/>
      <c r="C13" s="15" t="s">
        <v>17</v>
      </c>
      <c r="D13" s="15" t="s">
        <v>18</v>
      </c>
      <c r="E13" s="15" t="s">
        <v>12</v>
      </c>
      <c r="F13" s="68" t="s">
        <v>26</v>
      </c>
      <c r="G13" s="69"/>
      <c r="H13" s="121"/>
      <c r="I13" s="117"/>
      <c r="J13" s="117"/>
      <c r="K13" s="117"/>
    </row>
    <row r="14" spans="1:18" ht="15" thickTop="1" thickBot="1" x14ac:dyDescent="0.3">
      <c r="A14" s="139">
        <v>50000</v>
      </c>
      <c r="B14" s="140"/>
      <c r="C14" s="11" t="s">
        <v>5</v>
      </c>
      <c r="D14" s="11" t="s">
        <v>5</v>
      </c>
      <c r="E14" s="11" t="s">
        <v>5</v>
      </c>
      <c r="F14" s="127">
        <v>16000</v>
      </c>
      <c r="G14" s="128"/>
      <c r="H14" s="119"/>
      <c r="I14" s="117"/>
      <c r="J14" s="117"/>
      <c r="K14" s="117"/>
    </row>
    <row r="15" spans="1:18" ht="15" thickTop="1" thickBot="1" x14ac:dyDescent="0.3">
      <c r="A15" s="141">
        <v>25000</v>
      </c>
      <c r="B15" s="142"/>
      <c r="C15" s="31">
        <f>+A15*0.5</f>
        <v>12500</v>
      </c>
      <c r="D15" s="23">
        <f>+A15*0.25</f>
        <v>6250</v>
      </c>
      <c r="E15" s="32">
        <f>+K6*0</f>
        <v>0</v>
      </c>
      <c r="F15" s="129">
        <v>7000</v>
      </c>
      <c r="G15" s="130"/>
      <c r="H15" s="119"/>
      <c r="I15" s="117"/>
      <c r="J15" s="117"/>
      <c r="K15" s="117"/>
    </row>
    <row r="16" spans="1:18" ht="15" thickTop="1" thickBot="1" x14ac:dyDescent="0.3">
      <c r="A16" s="141">
        <v>12000</v>
      </c>
      <c r="B16" s="142"/>
      <c r="C16" s="114"/>
      <c r="D16" s="115"/>
      <c r="E16" s="122"/>
      <c r="F16" s="129">
        <v>7000</v>
      </c>
      <c r="G16" s="130"/>
      <c r="H16" s="119"/>
      <c r="I16" s="117"/>
      <c r="J16" s="117"/>
      <c r="K16" s="117"/>
    </row>
    <row r="17" spans="1:11" ht="15" thickTop="1" thickBot="1" x14ac:dyDescent="0.3">
      <c r="A17" s="141">
        <v>128000</v>
      </c>
      <c r="B17" s="142"/>
      <c r="C17" s="116"/>
      <c r="D17" s="117"/>
      <c r="E17" s="123"/>
      <c r="F17" s="129">
        <v>20000</v>
      </c>
      <c r="G17" s="130"/>
      <c r="H17" s="119"/>
      <c r="I17" s="117"/>
      <c r="J17" s="117"/>
      <c r="K17" s="117"/>
    </row>
    <row r="18" spans="1:11" ht="15" thickTop="1" thickBot="1" x14ac:dyDescent="0.3">
      <c r="A18" s="141">
        <v>80000</v>
      </c>
      <c r="B18" s="142">
        <v>7200</v>
      </c>
      <c r="C18" s="116"/>
      <c r="D18" s="117"/>
      <c r="E18" s="123"/>
      <c r="F18" s="129">
        <v>10000</v>
      </c>
      <c r="G18" s="130"/>
      <c r="H18" s="119"/>
      <c r="I18" s="117"/>
      <c r="J18" s="117"/>
      <c r="K18" s="117"/>
    </row>
    <row r="19" spans="1:11" ht="15" thickTop="1" thickBot="1" x14ac:dyDescent="0.3">
      <c r="A19" s="141">
        <v>160000</v>
      </c>
      <c r="B19" s="142"/>
      <c r="C19" s="116"/>
      <c r="D19" s="117"/>
      <c r="E19" s="123"/>
      <c r="F19" s="129">
        <v>25000</v>
      </c>
      <c r="G19" s="130"/>
      <c r="H19" s="119"/>
      <c r="I19" s="117"/>
      <c r="J19" s="117"/>
      <c r="K19" s="117"/>
    </row>
    <row r="20" spans="1:11" ht="15" thickTop="1" thickBot="1" x14ac:dyDescent="0.3">
      <c r="A20" s="143">
        <v>110000</v>
      </c>
      <c r="B20" s="144"/>
      <c r="C20" s="116"/>
      <c r="D20" s="117"/>
      <c r="E20" s="123"/>
      <c r="F20" s="131">
        <v>12000</v>
      </c>
      <c r="G20" s="132"/>
      <c r="H20" s="120"/>
      <c r="I20" s="118"/>
      <c r="J20" s="118"/>
      <c r="K20" s="118"/>
    </row>
    <row r="21" spans="1:11" ht="18.600000000000001" thickTop="1" thickBot="1" x14ac:dyDescent="0.35">
      <c r="A21" s="26"/>
      <c r="B21" s="27"/>
      <c r="C21" s="124"/>
      <c r="D21" s="125"/>
      <c r="E21" s="126"/>
      <c r="F21" s="28"/>
      <c r="G21" s="28"/>
    </row>
    <row r="22" spans="1:11" ht="14.4" thickTop="1" x14ac:dyDescent="0.25"/>
  </sheetData>
  <mergeCells count="38">
    <mergeCell ref="A1:K1"/>
    <mergeCell ref="A2:K2"/>
    <mergeCell ref="A15:B15"/>
    <mergeCell ref="F15:G15"/>
    <mergeCell ref="C7:E7"/>
    <mergeCell ref="F7:H7"/>
    <mergeCell ref="A4:B4"/>
    <mergeCell ref="C4:E4"/>
    <mergeCell ref="F4:H4"/>
    <mergeCell ref="A13:B13"/>
    <mergeCell ref="F13:G13"/>
    <mergeCell ref="A5:A6"/>
    <mergeCell ref="C5:E5"/>
    <mergeCell ref="F5:H5"/>
    <mergeCell ref="A14:B14"/>
    <mergeCell ref="F14:G14"/>
    <mergeCell ref="C6:E6"/>
    <mergeCell ref="F6:H6"/>
    <mergeCell ref="A8:A9"/>
    <mergeCell ref="C8:E8"/>
    <mergeCell ref="F8:H8"/>
    <mergeCell ref="C9:E9"/>
    <mergeCell ref="F9:H9"/>
    <mergeCell ref="A18:B18"/>
    <mergeCell ref="F18:G18"/>
    <mergeCell ref="A10:A11"/>
    <mergeCell ref="C10:E10"/>
    <mergeCell ref="F10:H10"/>
    <mergeCell ref="A16:B16"/>
    <mergeCell ref="F16:G16"/>
    <mergeCell ref="A19:B19"/>
    <mergeCell ref="F19:G19"/>
    <mergeCell ref="C11:E11"/>
    <mergeCell ref="F11:H11"/>
    <mergeCell ref="A20:B20"/>
    <mergeCell ref="F20:G20"/>
    <mergeCell ref="A17:B17"/>
    <mergeCell ref="F17:G17"/>
  </mergeCells>
  <pageMargins left="0.7" right="0.7" top="0.75" bottom="0.75" header="0.3" footer="0.3"/>
  <pageSetup paperSize="2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ARANCELES PILETA 2025-2026</vt:lpstr>
      <vt:lpstr>ARANCELES PILETA - HASTA 31-12</vt:lpstr>
      <vt:lpstr>'ARANCELES PILETA 2025-2026'!Área_de_impresión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JuanPablo</dc:creator>
  <cp:lastModifiedBy>JuanPablo</cp:lastModifiedBy>
  <cp:lastPrinted>2024-12-03T14:55:29Z</cp:lastPrinted>
  <dcterms:created xsi:type="dcterms:W3CDTF">2021-12-03T17:47:30Z</dcterms:created>
  <dcterms:modified xsi:type="dcterms:W3CDTF">2025-11-29T19:28:01Z</dcterms:modified>
</cp:coreProperties>
</file>